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er\Desktop\Planilhas BR Caprinos&amp;Ovinos\"/>
    </mc:Choice>
  </mc:AlternateContent>
  <xr:revisionPtr revIDLastSave="0" documentId="13_ncr:1_{80B9A760-ACB6-454C-B314-E4EDD8E606B2}" xr6:coauthVersionLast="47" xr6:coauthVersionMax="47" xr10:uidLastSave="{00000000-0000-0000-0000-000000000000}"/>
  <bookViews>
    <workbookView xWindow="-108" yWindow="-108" windowWidth="23256" windowHeight="12456" xr2:uid="{872948D7-A809-4B44-A608-4BAB22CDE906}"/>
  </bookViews>
  <sheets>
    <sheet name="Caprinos em Crescimento" sheetId="2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8" i="2" l="1"/>
  <c r="J6" i="2"/>
  <c r="J31" i="2"/>
  <c r="J32" i="2"/>
  <c r="J30" i="2"/>
  <c r="J35" i="2"/>
  <c r="J38" i="2"/>
  <c r="J29" i="2"/>
  <c r="J5" i="2"/>
  <c r="J26" i="2"/>
  <c r="J37" i="2"/>
  <c r="J36" i="2"/>
  <c r="J34" i="2"/>
  <c r="J33" i="2"/>
  <c r="J28" i="2"/>
  <c r="J27" i="2"/>
  <c r="J25" i="2"/>
  <c r="J24" i="2"/>
  <c r="B9" i="2"/>
  <c r="J4" i="2"/>
  <c r="J7" i="2"/>
  <c r="J9" i="2"/>
  <c r="J11" i="2"/>
  <c r="J8" i="2"/>
  <c r="J17" i="2"/>
  <c r="J10" i="2"/>
  <c r="J12" i="2"/>
  <c r="J13" i="2"/>
  <c r="J16" i="2"/>
  <c r="J19" i="2"/>
  <c r="J20" i="2"/>
  <c r="J23" i="2"/>
  <c r="J21" i="2"/>
  <c r="J14" i="2"/>
  <c r="J15" i="2"/>
  <c r="J22" i="2"/>
</calcChain>
</file>

<file path=xl/sharedStrings.xml><?xml version="1.0" encoding="utf-8"?>
<sst xmlns="http://schemas.openxmlformats.org/spreadsheetml/2006/main" count="120" uniqueCount="89">
  <si>
    <t>Exigência</t>
  </si>
  <si>
    <t>Código</t>
  </si>
  <si>
    <t>Unidade</t>
  </si>
  <si>
    <t>kg</t>
  </si>
  <si>
    <t>Peso de Corpo Vazio</t>
  </si>
  <si>
    <t>PCVZ</t>
  </si>
  <si>
    <t>Ganho de Peso de Corpo Vazio</t>
  </si>
  <si>
    <t>GPCVZ</t>
  </si>
  <si>
    <t>Consumo de Matéria Seca</t>
  </si>
  <si>
    <t>CMS</t>
  </si>
  <si>
    <t>Exigências de nutrientes digestíveis totais</t>
  </si>
  <si>
    <t>NDT</t>
  </si>
  <si>
    <t>Energia Digestível</t>
  </si>
  <si>
    <t>ED</t>
  </si>
  <si>
    <t>Mcal</t>
  </si>
  <si>
    <t>Energia Metabolizável (Total)</t>
  </si>
  <si>
    <t>EM</t>
  </si>
  <si>
    <t>Energia Metabolizável (Mantença)</t>
  </si>
  <si>
    <t>EMm</t>
  </si>
  <si>
    <t>Energia Metabolizável (Ganho)</t>
  </si>
  <si>
    <t>EMg</t>
  </si>
  <si>
    <t>Energia Líquida (Mantença)</t>
  </si>
  <si>
    <t>ELm</t>
  </si>
  <si>
    <t>Energia Líquida (Ganho)</t>
  </si>
  <si>
    <t>ELg</t>
  </si>
  <si>
    <t>Eficiência de Utilização de Energia Metabolizável para Mantença</t>
  </si>
  <si>
    <t>km</t>
  </si>
  <si>
    <t>%</t>
  </si>
  <si>
    <t>Eficiência de Utilização de Energia Metabolizável para Ganho</t>
  </si>
  <si>
    <t>Proteína Bruta</t>
  </si>
  <si>
    <t>PB</t>
  </si>
  <si>
    <t>g</t>
  </si>
  <si>
    <t>Produção de Proteína Bruta Microbiana</t>
  </si>
  <si>
    <t>PBmic</t>
  </si>
  <si>
    <t>Eficiência microbiana</t>
  </si>
  <si>
    <t>Ef.Mic.</t>
  </si>
  <si>
    <t>g/ kg NDT</t>
  </si>
  <si>
    <t>Proteína Metabolizável (Total)</t>
  </si>
  <si>
    <t>PM</t>
  </si>
  <si>
    <t>Proteína Metabolizável (Mantença)</t>
  </si>
  <si>
    <t>PMm</t>
  </si>
  <si>
    <t>Proteína Metabolizável (Ganho)</t>
  </si>
  <si>
    <t>PMg</t>
  </si>
  <si>
    <t>Proteína Líquida de ganho</t>
  </si>
  <si>
    <t>PLg</t>
  </si>
  <si>
    <t>Eficiência de Utilização de Proteína Metabolizável para Ganho</t>
  </si>
  <si>
    <t>Cálcio (Total)</t>
  </si>
  <si>
    <t>Ca</t>
  </si>
  <si>
    <t>Cálcio (Mantença)</t>
  </si>
  <si>
    <t>Cam</t>
  </si>
  <si>
    <t>Cálcio (Ganho)</t>
  </si>
  <si>
    <t>Cag</t>
  </si>
  <si>
    <t>Fósforo (Total)</t>
  </si>
  <si>
    <t>P</t>
  </si>
  <si>
    <t>Fósforo (Mantença)</t>
  </si>
  <si>
    <t>Pm</t>
  </si>
  <si>
    <t>Fósforo (Ganho)</t>
  </si>
  <si>
    <t>Pg</t>
  </si>
  <si>
    <t>Magnésio (Total)</t>
  </si>
  <si>
    <t>Mg</t>
  </si>
  <si>
    <t>Magnésio (Mantença)</t>
  </si>
  <si>
    <t>Mgm</t>
  </si>
  <si>
    <t>Magnésio (Ganho)</t>
  </si>
  <si>
    <t>Mgg</t>
  </si>
  <si>
    <t>Potássio (Total)</t>
  </si>
  <si>
    <t>K</t>
  </si>
  <si>
    <t>Potássio (Mantença)</t>
  </si>
  <si>
    <t>Km</t>
  </si>
  <si>
    <t>Potássio (Ganho)</t>
  </si>
  <si>
    <t>Kg</t>
  </si>
  <si>
    <t>Sódio (Total)</t>
  </si>
  <si>
    <t>Na</t>
  </si>
  <si>
    <t>Sódio (Mantença)</t>
  </si>
  <si>
    <t>Nam</t>
  </si>
  <si>
    <t>Sódio (Ganho)</t>
  </si>
  <si>
    <t>Nag</t>
  </si>
  <si>
    <t>Peso corporal inicial</t>
  </si>
  <si>
    <t>Peso corporal final</t>
  </si>
  <si>
    <t>Peso corporal médio</t>
  </si>
  <si>
    <t>Classe sexual</t>
  </si>
  <si>
    <t>Ganho médio diário</t>
  </si>
  <si>
    <t>ENTRADA DE DADOS</t>
  </si>
  <si>
    <t>Categoria</t>
  </si>
  <si>
    <t xml:space="preserve"> </t>
  </si>
  <si>
    <t>kpg</t>
  </si>
  <si>
    <t>REQUERIMENTOS DIÁRIOS LEITE-CORTE-NATIVOS</t>
  </si>
  <si>
    <t>Leite</t>
  </si>
  <si>
    <t>Fêmea</t>
  </si>
  <si>
    <t>BR-CAPRINOS &amp; OVINOS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</si>
</sst>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5" x14ac:knownFonts="1">
    <font>
      <sz val="11"/>
      <color theme="1"/>
      <name val="Aptos Narrow"/>
      <family val="2"/>
      <scheme val="minor"/>
    </font>
    <font>
      <b/>
      <sz val="20"/>
      <color theme="1"/>
      <name val="Times New Roman"/>
      <family val="1"/>
    </font>
    <font>
      <sz val="20"/>
      <color theme="1"/>
      <name val="Times New Roman"/>
      <family val="1"/>
    </font>
    <font>
      <b/>
      <sz val="16"/>
      <color theme="1"/>
      <name val="Times New Roman"/>
      <family val="1"/>
    </font>
    <font>
      <sz val="16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ECB74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4" fillId="0" borderId="0" xfId="0" applyFont="1" applyAlignment="1">
      <alignment horizontal="center"/>
    </xf>
    <xf numFmtId="0" fontId="3" fillId="0" borderId="1" xfId="0" applyFont="1" applyBorder="1" applyAlignment="1" applyProtection="1">
      <alignment horizontal="center" vertical="center"/>
      <protection hidden="1"/>
    </xf>
    <xf numFmtId="0" fontId="3" fillId="0" borderId="1" xfId="0" applyFont="1" applyBorder="1" applyAlignment="1" applyProtection="1">
      <alignment horizontal="left" vertical="center"/>
      <protection hidden="1"/>
    </xf>
    <xf numFmtId="0" fontId="4" fillId="0" borderId="1" xfId="0" applyFont="1" applyBorder="1" applyAlignment="1" applyProtection="1">
      <alignment vertical="center"/>
      <protection hidden="1"/>
    </xf>
    <xf numFmtId="0" fontId="4" fillId="0" borderId="1" xfId="0" applyFont="1" applyBorder="1" applyAlignment="1" applyProtection="1">
      <alignment horizontal="center" vertical="center"/>
      <protection hidden="1"/>
    </xf>
    <xf numFmtId="1" fontId="4" fillId="0" borderId="1" xfId="0" applyNumberFormat="1" applyFont="1" applyBorder="1" applyAlignment="1" applyProtection="1">
      <alignment horizontal="center" vertical="center"/>
      <protection hidden="1"/>
    </xf>
    <xf numFmtId="0" fontId="4" fillId="2" borderId="1" xfId="0" applyFont="1" applyFill="1" applyBorder="1" applyAlignment="1" applyProtection="1">
      <alignment vertical="center"/>
      <protection hidden="1"/>
    </xf>
    <xf numFmtId="0" fontId="4" fillId="2" borderId="1" xfId="0" applyFont="1" applyFill="1" applyBorder="1" applyAlignment="1" applyProtection="1">
      <alignment horizontal="center" vertical="center"/>
      <protection hidden="1"/>
    </xf>
    <xf numFmtId="164" fontId="4" fillId="2" borderId="1" xfId="0" applyNumberFormat="1" applyFont="1" applyFill="1" applyBorder="1" applyAlignment="1" applyProtection="1">
      <alignment horizontal="center" vertical="center"/>
      <protection hidden="1"/>
    </xf>
    <xf numFmtId="0" fontId="3" fillId="0" borderId="1" xfId="0" applyFont="1" applyBorder="1" applyAlignment="1" applyProtection="1">
      <alignment vertical="center"/>
      <protection hidden="1"/>
    </xf>
    <xf numFmtId="2" fontId="3" fillId="0" borderId="1" xfId="0" applyNumberFormat="1" applyFont="1" applyBorder="1" applyAlignment="1" applyProtection="1">
      <alignment horizontal="center" vertical="center"/>
      <protection hidden="1"/>
    </xf>
    <xf numFmtId="164" fontId="4" fillId="0" borderId="1" xfId="0" applyNumberFormat="1" applyFont="1" applyBorder="1" applyAlignment="1" applyProtection="1">
      <alignment horizontal="center" vertical="center"/>
      <protection hidden="1"/>
    </xf>
    <xf numFmtId="165" fontId="4" fillId="2" borderId="1" xfId="0" applyNumberFormat="1" applyFont="1" applyFill="1" applyBorder="1" applyAlignment="1" applyProtection="1">
      <alignment horizontal="center" vertical="center"/>
      <protection hidden="1"/>
    </xf>
    <xf numFmtId="165" fontId="4" fillId="0" borderId="1" xfId="0" applyNumberFormat="1" applyFont="1" applyBorder="1" applyAlignment="1" applyProtection="1">
      <alignment horizontal="center" vertical="center"/>
      <protection hidden="1"/>
    </xf>
    <xf numFmtId="0" fontId="3" fillId="2" borderId="1" xfId="0" applyFont="1" applyFill="1" applyBorder="1" applyAlignment="1" applyProtection="1">
      <alignment vertical="center"/>
      <protection hidden="1"/>
    </xf>
    <xf numFmtId="0" fontId="3" fillId="2" borderId="1" xfId="0" applyFont="1" applyFill="1" applyBorder="1" applyAlignment="1" applyProtection="1">
      <alignment horizontal="center" vertical="center"/>
      <protection hidden="1"/>
    </xf>
    <xf numFmtId="2" fontId="3" fillId="2" borderId="1" xfId="0" applyNumberFormat="1" applyFont="1" applyFill="1" applyBorder="1" applyAlignment="1" applyProtection="1">
      <alignment horizontal="center" vertical="center"/>
      <protection hidden="1"/>
    </xf>
    <xf numFmtId="1" fontId="4" fillId="2" borderId="1" xfId="0" applyNumberFormat="1" applyFont="1" applyFill="1" applyBorder="1" applyAlignment="1" applyProtection="1">
      <alignment horizontal="center" vertical="center"/>
      <protection hidden="1"/>
    </xf>
    <xf numFmtId="1" fontId="3" fillId="0" borderId="1" xfId="0" applyNumberFormat="1" applyFont="1" applyBorder="1" applyAlignment="1" applyProtection="1">
      <alignment horizontal="center" vertical="center"/>
      <protection hidden="1"/>
    </xf>
    <xf numFmtId="1" fontId="3" fillId="2" borderId="1" xfId="0" applyNumberFormat="1" applyFont="1" applyFill="1" applyBorder="1" applyAlignment="1" applyProtection="1">
      <alignment horizontal="center" vertical="center"/>
      <protection hidden="1"/>
    </xf>
    <xf numFmtId="2" fontId="4" fillId="0" borderId="1" xfId="0" applyNumberFormat="1" applyFont="1" applyBorder="1" applyAlignment="1" applyProtection="1">
      <alignment horizontal="center" vertical="center"/>
      <protection hidden="1"/>
    </xf>
    <xf numFmtId="2" fontId="4" fillId="2" borderId="1" xfId="0" applyNumberFormat="1" applyFont="1" applyFill="1" applyBorder="1" applyAlignment="1" applyProtection="1">
      <alignment horizontal="center" vertical="center"/>
      <protection hidden="1"/>
    </xf>
    <xf numFmtId="0" fontId="4" fillId="2" borderId="0" xfId="0" applyFont="1" applyFill="1" applyAlignment="1" applyProtection="1">
      <alignment horizontal="center"/>
      <protection locked="0"/>
    </xf>
    <xf numFmtId="164" fontId="4" fillId="2" borderId="0" xfId="0" applyNumberFormat="1" applyFont="1" applyFill="1" applyAlignment="1" applyProtection="1">
      <alignment horizontal="center"/>
      <protection locked="0"/>
    </xf>
    <xf numFmtId="0" fontId="0" fillId="0" borderId="0" xfId="0" applyProtection="1">
      <protection locked="0"/>
    </xf>
    <xf numFmtId="164" fontId="3" fillId="2" borderId="1" xfId="0" applyNumberFormat="1" applyFont="1" applyFill="1" applyBorder="1" applyAlignment="1" applyProtection="1">
      <alignment horizontal="center" vertical="center"/>
      <protection hidden="1"/>
    </xf>
    <xf numFmtId="164" fontId="3" fillId="0" borderId="1" xfId="0" applyNumberFormat="1" applyFont="1" applyBorder="1" applyAlignment="1" applyProtection="1">
      <alignment horizontal="center" vertical="center"/>
      <protection hidden="1"/>
    </xf>
    <xf numFmtId="0" fontId="1" fillId="2" borderId="1" xfId="0" applyFont="1" applyFill="1" applyBorder="1" applyAlignment="1" applyProtection="1">
      <alignment horizontal="center" vertical="center"/>
      <protection hidden="1"/>
    </xf>
    <xf numFmtId="0" fontId="2" fillId="2" borderId="1" xfId="0" applyFont="1" applyFill="1" applyBorder="1" applyAlignment="1" applyProtection="1">
      <alignment vertical="center"/>
      <protection hidden="1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ECB7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960120</xdr:colOff>
      <xdr:row>14</xdr:row>
      <xdr:rowOff>121920</xdr:rowOff>
    </xdr:from>
    <xdr:to>
      <xdr:col>4</xdr:col>
      <xdr:colOff>381370</xdr:colOff>
      <xdr:row>36</xdr:row>
      <xdr:rowOff>168156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9DD11CD6-F64D-4274-BA20-A50157B6DE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0120" y="3886200"/>
          <a:ext cx="4267570" cy="595935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FC5717-3842-4BF5-A914-CD9F429C2D21}">
  <dimension ref="A2:R38"/>
  <sheetViews>
    <sheetView tabSelected="1" zoomScale="60" zoomScaleNormal="60" workbookViewId="0">
      <selection activeCell="B10" sqref="B10"/>
    </sheetView>
  </sheetViews>
  <sheetFormatPr defaultRowHeight="14.4" x14ac:dyDescent="0.3"/>
  <cols>
    <col min="1" max="1" width="26.5546875" bestFit="1" customWidth="1"/>
    <col min="2" max="2" width="26.21875" bestFit="1" customWidth="1"/>
    <col min="7" max="7" width="82.33203125" bestFit="1" customWidth="1"/>
    <col min="8" max="8" width="10.88671875" bestFit="1" customWidth="1"/>
    <col min="9" max="9" width="13.88671875" bestFit="1" customWidth="1"/>
    <col min="10" max="10" width="44" bestFit="1" customWidth="1"/>
  </cols>
  <sheetData>
    <row r="2" spans="1:18" ht="25.2" x14ac:dyDescent="0.3">
      <c r="G2" s="28" t="s">
        <v>85</v>
      </c>
      <c r="H2" s="29"/>
      <c r="I2" s="29"/>
      <c r="J2" s="29"/>
    </row>
    <row r="3" spans="1:18" ht="20.399999999999999" x14ac:dyDescent="0.3">
      <c r="G3" s="3" t="s">
        <v>0</v>
      </c>
      <c r="H3" s="2" t="s">
        <v>1</v>
      </c>
      <c r="I3" s="2" t="s">
        <v>2</v>
      </c>
      <c r="J3" s="2" t="s">
        <v>88</v>
      </c>
    </row>
    <row r="4" spans="1:18" ht="21" x14ac:dyDescent="0.4">
      <c r="A4" s="30" t="s">
        <v>81</v>
      </c>
      <c r="B4" s="31"/>
      <c r="G4" s="4" t="s">
        <v>4</v>
      </c>
      <c r="H4" s="5" t="s">
        <v>5</v>
      </c>
      <c r="I4" s="5" t="s">
        <v>3</v>
      </c>
      <c r="J4" s="6">
        <f>B9-((525.5*B9^-0.33)*(B9/1000))</f>
        <v>24.868504397976459</v>
      </c>
    </row>
    <row r="5" spans="1:18" ht="21" x14ac:dyDescent="0.4">
      <c r="A5" s="1" t="s">
        <v>79</v>
      </c>
      <c r="B5" s="23" t="s">
        <v>87</v>
      </c>
      <c r="G5" s="7" t="s">
        <v>6</v>
      </c>
      <c r="H5" s="8" t="s">
        <v>7</v>
      </c>
      <c r="I5" s="8" t="s">
        <v>3</v>
      </c>
      <c r="J5" s="9">
        <f>(1.126*((B10*1000))^0.941)/1000</f>
        <v>0.1647432451012544</v>
      </c>
    </row>
    <row r="6" spans="1:18" ht="21" x14ac:dyDescent="0.4">
      <c r="A6" s="1" t="s">
        <v>82</v>
      </c>
      <c r="B6" s="23" t="s">
        <v>86</v>
      </c>
      <c r="D6" s="25"/>
      <c r="G6" s="10" t="s">
        <v>8</v>
      </c>
      <c r="H6" s="2" t="s">
        <v>9</v>
      </c>
      <c r="I6" s="2" t="s">
        <v>31</v>
      </c>
      <c r="J6" s="11">
        <f>IF(B5="macho não castrado",78.12 + 30.9309*B9,IF(B5="macho castrado",57.2919 + 30.9309*B9,IF(B5="fêmea",36.4638 +30.9309*B9,0)))</f>
        <v>964.39080000000001</v>
      </c>
    </row>
    <row r="7" spans="1:18" ht="21" x14ac:dyDescent="0.4">
      <c r="A7" s="1" t="s">
        <v>76</v>
      </c>
      <c r="B7" s="23">
        <v>30</v>
      </c>
      <c r="G7" s="7" t="s">
        <v>21</v>
      </c>
      <c r="H7" s="8" t="s">
        <v>22</v>
      </c>
      <c r="I7" s="8" t="s">
        <v>14</v>
      </c>
      <c r="J7" s="9">
        <f>IF(AND(B5="macho não castrado",B6="leite"),0.075*J4^0.75,IF(AND(B5="macho castrado",B6="leite"),0.075*J4^0.75,IF(AND(B5="fêmea",B6="leite"),0.0636*J4^0.75,IF(B6="corte",0.0803*J4^0.75,IF(B6="nativo",0.074*J4^0.75,0)))))</f>
        <v>0.70826269269493236</v>
      </c>
    </row>
    <row r="8" spans="1:18" ht="21" x14ac:dyDescent="0.4">
      <c r="A8" s="1" t="s">
        <v>77</v>
      </c>
      <c r="B8" s="23">
        <v>30</v>
      </c>
      <c r="G8" s="4" t="s">
        <v>23</v>
      </c>
      <c r="H8" s="5" t="s">
        <v>24</v>
      </c>
      <c r="I8" s="5" t="s">
        <v>14</v>
      </c>
      <c r="J8" s="12">
        <f>IF(AND(B5="macho não castrado",B6="leite"),1.206*J4^0.24*J5,IF(AND(B5="macho castrado",B6="leite"),1.014*J4^0.359*J5,IF(AND(B5="fêmea",B6="leite"),0.953*J4^0.442*J5,IF(B6="nativo",1.068*J4^0.35*J5,IF(B6="corte",1.068*J4^0.35*J5,0)))))</f>
        <v>0.6497969522951671</v>
      </c>
    </row>
    <row r="9" spans="1:18" ht="21" x14ac:dyDescent="0.4">
      <c r="A9" s="1" t="s">
        <v>78</v>
      </c>
      <c r="B9" s="1">
        <f>AVERAGE(B7:B8)</f>
        <v>30</v>
      </c>
      <c r="G9" s="7" t="s">
        <v>25</v>
      </c>
      <c r="H9" s="8" t="s">
        <v>26</v>
      </c>
      <c r="I9" s="8" t="s">
        <v>27</v>
      </c>
      <c r="J9" s="13">
        <f>IF(AND(B5="macho não castrado",B6="leite"),62,IF(AND(B5="macho castrado",B6="leite"),62,IF(AND(B5="fêmea",B6="leite"),63,IF(B6="corte",64,IF(B6="nativo",62,0)))))</f>
        <v>63</v>
      </c>
      <c r="R9" t="s">
        <v>83</v>
      </c>
    </row>
    <row r="10" spans="1:18" ht="21" x14ac:dyDescent="0.4">
      <c r="A10" s="1" t="s">
        <v>80</v>
      </c>
      <c r="B10" s="24">
        <v>0.2</v>
      </c>
      <c r="G10" s="4" t="s">
        <v>28</v>
      </c>
      <c r="H10" s="5" t="s">
        <v>3</v>
      </c>
      <c r="I10" s="5" t="s">
        <v>27</v>
      </c>
      <c r="J10" s="14">
        <f>(17/(21+((J17/1000)*5.686)/J8*60))*100</f>
        <v>48.941241834711903</v>
      </c>
    </row>
    <row r="11" spans="1:18" ht="21" x14ac:dyDescent="0.3">
      <c r="G11" s="7" t="s">
        <v>17</v>
      </c>
      <c r="H11" s="8" t="s">
        <v>18</v>
      </c>
      <c r="I11" s="8" t="s">
        <v>14</v>
      </c>
      <c r="J11" s="22">
        <f>J7/(J9/100)</f>
        <v>1.1242264963411626</v>
      </c>
    </row>
    <row r="12" spans="1:18" ht="21" x14ac:dyDescent="0.3">
      <c r="G12" s="4" t="s">
        <v>19</v>
      </c>
      <c r="H12" s="5" t="s">
        <v>20</v>
      </c>
      <c r="I12" s="5" t="s">
        <v>14</v>
      </c>
      <c r="J12" s="21">
        <f>J8/(J10/100)</f>
        <v>1.3277083456315044</v>
      </c>
    </row>
    <row r="13" spans="1:18" ht="20.399999999999999" x14ac:dyDescent="0.3">
      <c r="G13" s="15" t="s">
        <v>15</v>
      </c>
      <c r="H13" s="16" t="s">
        <v>16</v>
      </c>
      <c r="I13" s="16" t="s">
        <v>14</v>
      </c>
      <c r="J13" s="17">
        <f>(J11+J12)</f>
        <v>2.4519348419726672</v>
      </c>
    </row>
    <row r="14" spans="1:18" ht="21" x14ac:dyDescent="0.3">
      <c r="G14" s="4" t="s">
        <v>12</v>
      </c>
      <c r="H14" s="5" t="s">
        <v>13</v>
      </c>
      <c r="I14" s="5" t="s">
        <v>14</v>
      </c>
      <c r="J14" s="21">
        <f>J13/0.889</f>
        <v>2.7580819369771286</v>
      </c>
    </row>
    <row r="15" spans="1:18" ht="20.399999999999999" x14ac:dyDescent="0.3">
      <c r="A15" s="25"/>
      <c r="G15" s="15" t="s">
        <v>10</v>
      </c>
      <c r="H15" s="16" t="s">
        <v>11</v>
      </c>
      <c r="I15" s="16" t="s">
        <v>3</v>
      </c>
      <c r="J15" s="26">
        <f>J14/4.409</f>
        <v>0.62555725492790404</v>
      </c>
    </row>
    <row r="16" spans="1:18" ht="21" x14ac:dyDescent="0.3">
      <c r="G16" s="4" t="s">
        <v>39</v>
      </c>
      <c r="H16" s="5" t="s">
        <v>40</v>
      </c>
      <c r="I16" s="5" t="s">
        <v>31</v>
      </c>
      <c r="J16" s="21">
        <f>IF(AND(B5="macho não castrado",B6="leite"),4.4*J4^0.75,IF(AND(B5="macho castrado",B6="leite"),4.4*J4^0.75,IF(AND(B5="fêmea",B6="leite"),4.4*J4^0.75,IF(AND(B5="macho não castrado",B6="corte"),3.79*J4^0.75,IF(AND(B5="macho não castrado",B6="nativo"),3.79*J4^0.75,IF(AND(B5="macho castrado",B6="nativo"),3.79*J4^0.75,IF(AND(B5="macho castrado",B6="leite"),3.79*J4^0.75,0)))))))</f>
        <v>48.99930578392614</v>
      </c>
    </row>
    <row r="17" spans="7:10" ht="21" x14ac:dyDescent="0.3">
      <c r="G17" s="7" t="s">
        <v>43</v>
      </c>
      <c r="H17" s="8" t="s">
        <v>44</v>
      </c>
      <c r="I17" s="8" t="s">
        <v>31</v>
      </c>
      <c r="J17" s="22">
        <f>IF(AND(B5="macho não castrado",B6="leite"),168.84*J4^0.015*J5,IF(AND(B5="macho castrado",B6="leite"),168.84*J4^0.015*J5,IF(AND(B5="fêmea",B6="leite"),181.4*J4^-0.0414*J5,IF(B6="nativo",181.4*J4^0.02*J5,IF(B6="corte",181.4*J4^0.02*J5,0)))))</f>
        <v>26.161642272063155</v>
      </c>
    </row>
    <row r="18" spans="7:10" ht="21" x14ac:dyDescent="0.3">
      <c r="G18" s="4" t="s">
        <v>45</v>
      </c>
      <c r="H18" s="5" t="s">
        <v>84</v>
      </c>
      <c r="I18" s="5" t="s">
        <v>27</v>
      </c>
      <c r="J18" s="14">
        <f>(IF(AND(B5="macho não castrado",B6="leite"),0.52,IF(AND(B5="macho castrado",B6="leite"),0.52,IF(AND(B5="fêmea",B6="leite"),0.52,IF(AND(B5="macho não castrado",B6="corte"),0.55,IF(AND(B5="macho castrado",B6="corte"),0.55,IF(AND(B5="fêmea",B6="corte"),0.55,IF(AND(B5="macho não castrado",B6="nativo"),0.55,IF(AND(B5="macho castrado",B6="nativo"),0.55,IF(AND(B5="fêmea",B6="nativo")*0.55,0))))))))))*100</f>
        <v>52</v>
      </c>
    </row>
    <row r="19" spans="7:10" ht="21" x14ac:dyDescent="0.3">
      <c r="G19" s="7" t="s">
        <v>41</v>
      </c>
      <c r="H19" s="8" t="s">
        <v>42</v>
      </c>
      <c r="I19" s="8" t="s">
        <v>31</v>
      </c>
      <c r="J19" s="18">
        <f>J17/(J18/100)</f>
        <v>50.310850523198376</v>
      </c>
    </row>
    <row r="20" spans="7:10" ht="20.399999999999999" x14ac:dyDescent="0.3">
      <c r="G20" s="10" t="s">
        <v>37</v>
      </c>
      <c r="H20" s="2" t="s">
        <v>38</v>
      </c>
      <c r="I20" s="2" t="s">
        <v>31</v>
      </c>
      <c r="J20" s="19">
        <f>(J19+J16)</f>
        <v>99.310156307124515</v>
      </c>
    </row>
    <row r="21" spans="7:10" ht="21" x14ac:dyDescent="0.3">
      <c r="G21" s="7" t="s">
        <v>32</v>
      </c>
      <c r="H21" s="8" t="s">
        <v>33</v>
      </c>
      <c r="I21" s="8" t="s">
        <v>31</v>
      </c>
      <c r="J21" s="18">
        <f>(12.7311+(15.3*J13))</f>
        <v>50.245703082181805</v>
      </c>
    </row>
    <row r="22" spans="7:10" ht="21" x14ac:dyDescent="0.3">
      <c r="G22" s="4" t="s">
        <v>34</v>
      </c>
      <c r="H22" s="5" t="s">
        <v>35</v>
      </c>
      <c r="I22" s="5" t="s">
        <v>36</v>
      </c>
      <c r="J22" s="6">
        <f>J21/J15</f>
        <v>80.321509640188992</v>
      </c>
    </row>
    <row r="23" spans="7:10" ht="20.399999999999999" x14ac:dyDescent="0.3">
      <c r="G23" s="15" t="s">
        <v>29</v>
      </c>
      <c r="H23" s="16" t="s">
        <v>30</v>
      </c>
      <c r="I23" s="16" t="s">
        <v>31</v>
      </c>
      <c r="J23" s="20">
        <f>J20/0.724</f>
        <v>137.1687241811112</v>
      </c>
    </row>
    <row r="24" spans="7:10" ht="20.399999999999999" x14ac:dyDescent="0.3">
      <c r="G24" s="10" t="s">
        <v>46</v>
      </c>
      <c r="H24" s="2" t="s">
        <v>47</v>
      </c>
      <c r="I24" s="2" t="s">
        <v>31</v>
      </c>
      <c r="J24" s="11">
        <f>(J25+J26)/0.66</f>
        <v>3.3513737445273772</v>
      </c>
    </row>
    <row r="25" spans="7:10" ht="21" x14ac:dyDescent="0.3">
      <c r="G25" s="7" t="s">
        <v>48</v>
      </c>
      <c r="H25" s="8" t="s">
        <v>49</v>
      </c>
      <c r="I25" s="8" t="s">
        <v>31</v>
      </c>
      <c r="J25" s="9">
        <f>IF(B5="macho não castrado",0.0211*(B9),IF(B5="macho castrado",0.0211*(B9),IF(B5="fêmea",0.0211*(B9),0)))</f>
        <v>0.63300000000000001</v>
      </c>
    </row>
    <row r="26" spans="7:10" ht="21" x14ac:dyDescent="0.3">
      <c r="G26" s="4" t="s">
        <v>50</v>
      </c>
      <c r="H26" s="5" t="s">
        <v>51</v>
      </c>
      <c r="I26" s="5" t="s">
        <v>31</v>
      </c>
      <c r="J26" s="21">
        <f>IF(B5="macho não castrado",9.68*J4^-0.0031*J5,IF(B5="macho castrado",9.68*J4^-0.0031*J5,IF(B5="fêmea",9.68*J4^-0.0031*J5,0)))</f>
        <v>1.5789066713880691</v>
      </c>
    </row>
    <row r="27" spans="7:10" ht="20.399999999999999" x14ac:dyDescent="0.3">
      <c r="G27" s="15" t="s">
        <v>52</v>
      </c>
      <c r="H27" s="16" t="s">
        <v>53</v>
      </c>
      <c r="I27" s="16" t="s">
        <v>31</v>
      </c>
      <c r="J27" s="17">
        <f>(J28+J29)/0.69</f>
        <v>2.8399115818017875</v>
      </c>
    </row>
    <row r="28" spans="7:10" ht="21" x14ac:dyDescent="0.3">
      <c r="G28" s="4" t="s">
        <v>54</v>
      </c>
      <c r="H28" s="5" t="s">
        <v>55</v>
      </c>
      <c r="I28" s="5" t="s">
        <v>31</v>
      </c>
      <c r="J28" s="12">
        <f>IF(B5="macho não castrado",0.0228*(B9),IF(B5="macho castrado",0.0228*(B9),IF(B5="fêmea",0.0228*(B9),0)))</f>
        <v>0.68400000000000005</v>
      </c>
    </row>
    <row r="29" spans="7:10" ht="21" x14ac:dyDescent="0.3">
      <c r="G29" s="7" t="s">
        <v>56</v>
      </c>
      <c r="H29" s="8" t="s">
        <v>57</v>
      </c>
      <c r="I29" s="8" t="s">
        <v>31</v>
      </c>
      <c r="J29" s="22">
        <f>IF(B5="macho não castrado",7.78*J4^-0.0015*J5,IF(B5="macho castrado",7.78*J4^-0.0015*J5,IF(B5="fêmea",7.78*J4^-0.0015*J5)))</f>
        <v>1.2755389914432331</v>
      </c>
    </row>
    <row r="30" spans="7:10" ht="20.399999999999999" x14ac:dyDescent="0.3">
      <c r="G30" s="10" t="s">
        <v>58</v>
      </c>
      <c r="H30" s="2" t="s">
        <v>59</v>
      </c>
      <c r="I30" s="2" t="s">
        <v>31</v>
      </c>
      <c r="J30" s="27">
        <f>(J31+J32)/0.2</f>
        <v>0.56825660252816379</v>
      </c>
    </row>
    <row r="31" spans="7:10" ht="21" x14ac:dyDescent="0.3">
      <c r="G31" s="7" t="s">
        <v>60</v>
      </c>
      <c r="H31" s="8" t="s">
        <v>61</v>
      </c>
      <c r="I31" s="8" t="s">
        <v>31</v>
      </c>
      <c r="J31" s="9">
        <f>IF(B5="macho não castrado",0.0026*(B9),IF(B5="macho castrado",0.0014*(B9),IF(B5="fêmea",0.0014*(B9),0)))</f>
        <v>4.2000000000000003E-2</v>
      </c>
    </row>
    <row r="32" spans="7:10" ht="21" x14ac:dyDescent="0.3">
      <c r="G32" s="4" t="s">
        <v>62</v>
      </c>
      <c r="H32" s="5" t="s">
        <v>63</v>
      </c>
      <c r="I32" s="5" t="s">
        <v>31</v>
      </c>
      <c r="J32" s="12">
        <f>IF(B5="macho não castrado",0.448*J4^0.066*J5,IF(B5="macho castrado",0.431*J4^0.035*J5,IF(B5="fêmea",0.493*J4^-0.039*J5)))</f>
        <v>7.1651320505632748E-2</v>
      </c>
    </row>
    <row r="33" spans="7:10" ht="20.399999999999999" x14ac:dyDescent="0.3">
      <c r="G33" s="15" t="s">
        <v>64</v>
      </c>
      <c r="H33" s="16" t="s">
        <v>65</v>
      </c>
      <c r="I33" s="16" t="s">
        <v>31</v>
      </c>
      <c r="J33" s="26">
        <f>(J34+J35)/0.9</f>
        <v>0.36807146953783804</v>
      </c>
    </row>
    <row r="34" spans="7:10" ht="21" x14ac:dyDescent="0.3">
      <c r="G34" s="4" t="s">
        <v>66</v>
      </c>
      <c r="H34" s="5" t="s">
        <v>67</v>
      </c>
      <c r="I34" s="5" t="s">
        <v>31</v>
      </c>
      <c r="J34" s="27">
        <f>IF(B5="macho não castrado",0.004*(B9),IF(B5="macho castrado",0.004*(B9),IF(B5="fêmea",0.004*(B9),0)))</f>
        <v>0.12</v>
      </c>
    </row>
    <row r="35" spans="7:10" ht="21" x14ac:dyDescent="0.3">
      <c r="G35" s="7" t="s">
        <v>68</v>
      </c>
      <c r="H35" s="8" t="s">
        <v>69</v>
      </c>
      <c r="I35" s="8" t="s">
        <v>31</v>
      </c>
      <c r="J35" s="9">
        <f>IF(B5="macho não castrado",2.07*J4^-0.149*J5,IF(B5="macho castrado",2.07*J4^-0.149*J5,IF(B5="fêmea",2.07*J4^-0.149*J5)))</f>
        <v>0.21126432258405423</v>
      </c>
    </row>
    <row r="36" spans="7:10" ht="20.399999999999999" x14ac:dyDescent="0.3">
      <c r="G36" s="10" t="s">
        <v>70</v>
      </c>
      <c r="H36" s="2" t="s">
        <v>71</v>
      </c>
      <c r="I36" s="2" t="s">
        <v>31</v>
      </c>
      <c r="J36" s="27">
        <f>(J37+J38)/0.8</f>
        <v>0.39047960066338816</v>
      </c>
    </row>
    <row r="37" spans="7:10" ht="21" x14ac:dyDescent="0.3">
      <c r="G37" s="7" t="s">
        <v>72</v>
      </c>
      <c r="H37" s="8" t="s">
        <v>73</v>
      </c>
      <c r="I37" s="8" t="s">
        <v>31</v>
      </c>
      <c r="J37" s="9">
        <f>IF(B5="macho não castrado",0.00514*(B9),IF(B5="macho castrado",0.00514*(B9),IF(B5="fêmea",0.00514*(B9),0)))</f>
        <v>0.15419999999999998</v>
      </c>
    </row>
    <row r="38" spans="7:10" ht="21" x14ac:dyDescent="0.3">
      <c r="G38" s="4" t="s">
        <v>74</v>
      </c>
      <c r="H38" s="5" t="s">
        <v>75</v>
      </c>
      <c r="I38" s="5" t="s">
        <v>31</v>
      </c>
      <c r="J38" s="12">
        <f>IF(B5="macho não castrado",1.74*J4^-0.185*J5,IF(B5="macho castrado",1.74*J4^-0.185*J5,IF(B5="fêmea",1.74*J4^-0.185*J5)))</f>
        <v>0.15818368053071058</v>
      </c>
    </row>
  </sheetData>
  <sheetProtection algorithmName="SHA-512" hashValue="P7aGA3s5VEpYdtt+ANXVMT3/XgL0suEWqCldrJZBuqlRixsyW1YBrfV2xrIYaW7uQRQmyhVC+EIrlh3jgmkDhg==" saltValue="zLdiSiJRrmX6cd1igpx+DA==" spinCount="100000" sheet="1" selectLockedCells="1"/>
  <mergeCells count="2">
    <mergeCell ref="G2:J2"/>
    <mergeCell ref="A4:B4"/>
  </mergeCells>
  <dataValidations count="2">
    <dataValidation type="list" allowBlank="1" showInputMessage="1" showErrorMessage="1" sqref="B5" xr:uid="{F25CC1C3-9099-45A8-9582-8FCB69D15952}">
      <formula1>"Macho não castrado,Macho castrado, Fêmea"</formula1>
    </dataValidation>
    <dataValidation type="list" allowBlank="1" showInputMessage="1" showErrorMessage="1" sqref="B6" xr:uid="{C361B4AE-35A6-41B0-B812-60DC06DD4344}">
      <formula1>"Leite,Corte, Nativo, "</formula1>
    </dataValidation>
  </dataValidation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Caprinos em Crescimento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Herbster</dc:creator>
  <cp:lastModifiedBy>Julio Herbster</cp:lastModifiedBy>
  <dcterms:created xsi:type="dcterms:W3CDTF">2024-08-08T22:47:59Z</dcterms:created>
  <dcterms:modified xsi:type="dcterms:W3CDTF">2024-08-16T14:08:03Z</dcterms:modified>
</cp:coreProperties>
</file>