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Planilhas BR Caprinos&amp;Ovinos\"/>
    </mc:Choice>
  </mc:AlternateContent>
  <xr:revisionPtr revIDLastSave="0" documentId="13_ncr:1_{A516C510-86AB-4B95-BD7A-F9D2988423F2}" xr6:coauthVersionLast="47" xr6:coauthVersionMax="47" xr10:uidLastSave="{00000000-0000-0000-0000-000000000000}"/>
  <bookViews>
    <workbookView xWindow="-108" yWindow="-108" windowWidth="23256" windowHeight="12456" xr2:uid="{872948D7-A809-4B44-A608-4BAB22CDE906}"/>
  </bookViews>
  <sheets>
    <sheet name="Caprinos Gestação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3" l="1"/>
  <c r="J33" i="3"/>
  <c r="B9" i="3"/>
  <c r="J35" i="3"/>
  <c r="J37" i="3"/>
  <c r="J38" i="3"/>
  <c r="J36" i="3"/>
  <c r="J31" i="3"/>
  <c r="J32" i="3"/>
  <c r="J30" i="3"/>
  <c r="J29" i="3"/>
  <c r="J28" i="3"/>
  <c r="J27" i="3"/>
  <c r="J25" i="3"/>
  <c r="J26" i="3"/>
  <c r="J24" i="3"/>
  <c r="J4" i="3"/>
  <c r="J16" i="3"/>
  <c r="J17" i="3"/>
  <c r="J18" i="3"/>
  <c r="J19" i="3"/>
  <c r="J20" i="3"/>
  <c r="J23" i="3"/>
  <c r="J7" i="3"/>
  <c r="J11" i="3"/>
  <c r="J8" i="3"/>
  <c r="J10" i="3"/>
  <c r="J12" i="3"/>
  <c r="J13" i="3"/>
  <c r="J21" i="3"/>
  <c r="J6" i="3"/>
  <c r="J5" i="3"/>
  <c r="J14" i="3"/>
  <c r="J15" i="3"/>
  <c r="J22" i="3"/>
</calcChain>
</file>

<file path=xl/sharedStrings.xml><?xml version="1.0" encoding="utf-8"?>
<sst xmlns="http://schemas.openxmlformats.org/spreadsheetml/2006/main" count="118" uniqueCount="88">
  <si>
    <t>Exigência</t>
  </si>
  <si>
    <t>Código</t>
  </si>
  <si>
    <t>Unidade</t>
  </si>
  <si>
    <t>kg</t>
  </si>
  <si>
    <t>Peso de Corpo Vazio</t>
  </si>
  <si>
    <t>PCVZ</t>
  </si>
  <si>
    <t>Ganho de Peso de Corpo Vazio</t>
  </si>
  <si>
    <t>GPCVZ</t>
  </si>
  <si>
    <t>Consumo de Matéria Seca</t>
  </si>
  <si>
    <t>CMS</t>
  </si>
  <si>
    <t>Exigências de nutrientes digestíveis totais</t>
  </si>
  <si>
    <t>NDT</t>
  </si>
  <si>
    <t>Energia Digestível</t>
  </si>
  <si>
    <t>ED</t>
  </si>
  <si>
    <t>Mcal</t>
  </si>
  <si>
    <t>Energia Metabolizável (Total)</t>
  </si>
  <si>
    <t>EM</t>
  </si>
  <si>
    <t>Energia Metabolizável (Mantença)</t>
  </si>
  <si>
    <t>EMm</t>
  </si>
  <si>
    <t>Energia Líquida (Mantença)</t>
  </si>
  <si>
    <t>ELm</t>
  </si>
  <si>
    <t>Eficiência de Utilização de Energia Metabolizável para Mantença</t>
  </si>
  <si>
    <t>km</t>
  </si>
  <si>
    <t>%</t>
  </si>
  <si>
    <t>Proteína Bruta</t>
  </si>
  <si>
    <t>PB</t>
  </si>
  <si>
    <t>g</t>
  </si>
  <si>
    <t>Produção de Proteína Bruta Microbiana</t>
  </si>
  <si>
    <t>PBmic</t>
  </si>
  <si>
    <t>Eficiência microbiana</t>
  </si>
  <si>
    <t>Ef.Mic.</t>
  </si>
  <si>
    <t>g/ kg NDT</t>
  </si>
  <si>
    <t>Proteína Metabolizável (Total)</t>
  </si>
  <si>
    <t>PM</t>
  </si>
  <si>
    <t>Proteína Metabolizável (Mantença)</t>
  </si>
  <si>
    <t>PMm</t>
  </si>
  <si>
    <t>PMg</t>
  </si>
  <si>
    <t>Cálcio (Total)</t>
  </si>
  <si>
    <t>Ca</t>
  </si>
  <si>
    <t>Cálcio (Mantença)</t>
  </si>
  <si>
    <t>Cam</t>
  </si>
  <si>
    <t>Cag</t>
  </si>
  <si>
    <t>Fósforo (Total)</t>
  </si>
  <si>
    <t>P</t>
  </si>
  <si>
    <t>Fósforo (Mantença)</t>
  </si>
  <si>
    <t>Pm</t>
  </si>
  <si>
    <t>Pg</t>
  </si>
  <si>
    <t>Magnésio (Total)</t>
  </si>
  <si>
    <t>Mg</t>
  </si>
  <si>
    <t>Magnésio (Mantença)</t>
  </si>
  <si>
    <t>Mgm</t>
  </si>
  <si>
    <t>Mgg</t>
  </si>
  <si>
    <t>Potássio (Total)</t>
  </si>
  <si>
    <t>K</t>
  </si>
  <si>
    <t>Potássio (Mantença)</t>
  </si>
  <si>
    <t>Km</t>
  </si>
  <si>
    <t>Kg</t>
  </si>
  <si>
    <t>Sódio (Total)</t>
  </si>
  <si>
    <t>Na</t>
  </si>
  <si>
    <t>Sódio (Mantença)</t>
  </si>
  <si>
    <t>Nam</t>
  </si>
  <si>
    <t>Nag</t>
  </si>
  <si>
    <t>Peso corporal inicial</t>
  </si>
  <si>
    <t>Peso corporal final</t>
  </si>
  <si>
    <t>Peso corporal médio</t>
  </si>
  <si>
    <t>Ganho médio diário</t>
  </si>
  <si>
    <t>ENTRADA DE DADOS</t>
  </si>
  <si>
    <t>kpg</t>
  </si>
  <si>
    <t>REQUERIMENTOS DIÁRIOS GESTANTE</t>
  </si>
  <si>
    <t>Tipo de gestação</t>
  </si>
  <si>
    <t>Dias de gestação</t>
  </si>
  <si>
    <t>Simples</t>
  </si>
  <si>
    <t>Energia Líquida para a gestação</t>
  </si>
  <si>
    <t>Elp</t>
  </si>
  <si>
    <t>Eficiência de Utilização de Energia Metabolizável para a gestação</t>
  </si>
  <si>
    <t>kgest</t>
  </si>
  <si>
    <t>Energia Metabolizável para gestação</t>
  </si>
  <si>
    <t>EMp</t>
  </si>
  <si>
    <t>Proteína Líquida de  para gestação</t>
  </si>
  <si>
    <t>PLp</t>
  </si>
  <si>
    <t>Eficiência de Utilização de Proteína Metabolizável para gestação</t>
  </si>
  <si>
    <t>Proteína Metabolizável para gestação</t>
  </si>
  <si>
    <t>Cálcio (gestação)</t>
  </si>
  <si>
    <t>Fósforo (Gestação)</t>
  </si>
  <si>
    <t>Magnésio (Gestação)</t>
  </si>
  <si>
    <t>Potássio (Gestação)</t>
  </si>
  <si>
    <t>Sódio (Gestação)</t>
  </si>
  <si>
    <t>BR-CAPRINOS &amp; OVINOS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</si>
</sst>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Aptos Narrow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8"/>
      <color rgb="FF47474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CB7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horizontal="center"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2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2" fontId="3" fillId="2" borderId="0" xfId="0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C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772885</xdr:colOff>
      <xdr:row>14</xdr:row>
      <xdr:rowOff>87086</xdr:rowOff>
    </xdr:from>
    <xdr:to>
      <xdr:col>4</xdr:col>
      <xdr:colOff>316055</xdr:colOff>
      <xdr:row>36</xdr:row>
      <xdr:rowOff>245445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B13A84-37B9-4BA4-8377-1E61995D0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885" y="3831772"/>
          <a:ext cx="4267570" cy="6058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C236-DBC8-43B5-BBC3-00B86B893EA1}">
  <dimension ref="A2:AF59"/>
  <sheetViews>
    <sheetView tabSelected="1" zoomScale="50" zoomScaleNormal="50" workbookViewId="0">
      <selection activeCell="B7" sqref="B7"/>
    </sheetView>
  </sheetViews>
  <sheetFormatPr defaultRowHeight="14.4" x14ac:dyDescent="0.3"/>
  <cols>
    <col min="1" max="1" width="35.21875" customWidth="1"/>
    <col min="2" max="2" width="15.88671875" customWidth="1"/>
    <col min="7" max="7" width="82.33203125" bestFit="1" customWidth="1"/>
    <col min="8" max="8" width="10.88671875" bestFit="1" customWidth="1"/>
    <col min="9" max="9" width="13.88671875" bestFit="1" customWidth="1"/>
    <col min="10" max="10" width="44" bestFit="1" customWidth="1"/>
  </cols>
  <sheetData>
    <row r="2" spans="1:13" ht="25.2" x14ac:dyDescent="0.3">
      <c r="G2" s="30" t="s">
        <v>68</v>
      </c>
      <c r="H2" s="31"/>
      <c r="I2" s="31"/>
      <c r="J2" s="31"/>
    </row>
    <row r="3" spans="1:13" ht="20.399999999999999" x14ac:dyDescent="0.3">
      <c r="G3" s="3" t="s">
        <v>0</v>
      </c>
      <c r="H3" s="2" t="s">
        <v>1</v>
      </c>
      <c r="I3" s="2" t="s">
        <v>2</v>
      </c>
      <c r="J3" s="2" t="s">
        <v>87</v>
      </c>
    </row>
    <row r="4" spans="1:13" ht="21" x14ac:dyDescent="0.4">
      <c r="A4" s="32" t="s">
        <v>66</v>
      </c>
      <c r="B4" s="33"/>
      <c r="G4" s="4" t="s">
        <v>4</v>
      </c>
      <c r="H4" s="5" t="s">
        <v>5</v>
      </c>
      <c r="I4" s="5" t="s">
        <v>3</v>
      </c>
      <c r="J4" s="6">
        <f>B9-((525.5*B9^-0.33)*(B9/1000))</f>
        <v>59.121211888123753</v>
      </c>
      <c r="M4" s="22"/>
    </row>
    <row r="5" spans="1:13" ht="21" x14ac:dyDescent="0.4">
      <c r="A5" s="1" t="s">
        <v>69</v>
      </c>
      <c r="B5" s="24" t="s">
        <v>71</v>
      </c>
      <c r="G5" s="7" t="s">
        <v>6</v>
      </c>
      <c r="H5" s="8" t="s">
        <v>7</v>
      </c>
      <c r="I5" s="8" t="s">
        <v>3</v>
      </c>
      <c r="J5" s="9">
        <f>(1.126*((B10*1000))^0.941)/1000</f>
        <v>0.1647432451012544</v>
      </c>
    </row>
    <row r="6" spans="1:13" ht="21" x14ac:dyDescent="0.4">
      <c r="A6" s="1" t="s">
        <v>70</v>
      </c>
      <c r="B6" s="24">
        <v>110</v>
      </c>
      <c r="G6" s="10" t="s">
        <v>8</v>
      </c>
      <c r="H6" s="2" t="s">
        <v>9</v>
      </c>
      <c r="I6" s="2" t="s">
        <v>26</v>
      </c>
      <c r="J6" s="11">
        <f>36.4638 +30.9309*B9</f>
        <v>2139.7649999999999</v>
      </c>
    </row>
    <row r="7" spans="1:13" ht="21" x14ac:dyDescent="0.4">
      <c r="A7" s="1" t="s">
        <v>62</v>
      </c>
      <c r="B7" s="24">
        <v>68</v>
      </c>
      <c r="G7" s="7" t="s">
        <v>19</v>
      </c>
      <c r="H7" s="8" t="s">
        <v>20</v>
      </c>
      <c r="I7" s="8" t="s">
        <v>14</v>
      </c>
      <c r="J7" s="9">
        <f>0.0471*J4^0.75</f>
        <v>1.0042189281758096</v>
      </c>
    </row>
    <row r="8" spans="1:13" ht="21" x14ac:dyDescent="0.4">
      <c r="A8" s="1" t="s">
        <v>63</v>
      </c>
      <c r="B8" s="24">
        <v>68</v>
      </c>
      <c r="G8" s="4" t="s">
        <v>72</v>
      </c>
      <c r="H8" s="5" t="s">
        <v>73</v>
      </c>
      <c r="I8" s="5" t="s">
        <v>14</v>
      </c>
      <c r="J8" s="12">
        <f>(IF(AND(B5="simples",B6=80),1.5282*EXP(0.03396*B6)+5.5493*EXP(0.0211*B6),IF(AND(B5="simples",B6=110),1.5282*EXP(0.03396*B6)+5.5493*EXP(0.0211*B6),IF(AND(B5="simples",B6=140),1.5282*EXP(0.03396*B6)+5.5493*EXP(0.0211*B6),IF(AND(B5="gemelar",B6=80),2.3092*EXP(0.03396*B6)+6.5832*EXP(0.0211*B6),IF(AND(B5="gemelar",B6=110),2.3092*EXP(0.03396*B6)+6.5832*EXP(0.0211*B6),IF(AND(B5="gemelar",B6=140),2.3092*EXP(0.03396*B6)+6.5832*EXP(0.0211*B6),0)))))))/1000</f>
        <v>0.12057606569809608</v>
      </c>
    </row>
    <row r="9" spans="1:13" ht="21" x14ac:dyDescent="0.4">
      <c r="A9" s="1" t="s">
        <v>64</v>
      </c>
      <c r="B9" s="1">
        <f>AVERAGE(B7:B8)</f>
        <v>68</v>
      </c>
      <c r="G9" s="7" t="s">
        <v>21</v>
      </c>
      <c r="H9" s="8" t="s">
        <v>22</v>
      </c>
      <c r="I9" s="8" t="s">
        <v>23</v>
      </c>
      <c r="J9" s="13">
        <v>63</v>
      </c>
    </row>
    <row r="10" spans="1:13" ht="21" x14ac:dyDescent="0.4">
      <c r="A10" s="1" t="s">
        <v>65</v>
      </c>
      <c r="B10" s="25">
        <v>0.2</v>
      </c>
      <c r="G10" s="4" t="s">
        <v>74</v>
      </c>
      <c r="H10" s="5" t="s">
        <v>75</v>
      </c>
      <c r="I10" s="5" t="s">
        <v>23</v>
      </c>
      <c r="J10" s="14">
        <f>IF(B6=80,5.8,IF(B6=110,10,IF(B6=140,19,0)))</f>
        <v>10</v>
      </c>
    </row>
    <row r="11" spans="1:13" ht="21" x14ac:dyDescent="0.3">
      <c r="G11" s="7" t="s">
        <v>17</v>
      </c>
      <c r="H11" s="8" t="s">
        <v>18</v>
      </c>
      <c r="I11" s="8" t="s">
        <v>14</v>
      </c>
      <c r="J11" s="21">
        <f>J7/(J9/100)</f>
        <v>1.5939982986917614</v>
      </c>
    </row>
    <row r="12" spans="1:13" ht="21" x14ac:dyDescent="0.3">
      <c r="G12" s="4" t="s">
        <v>76</v>
      </c>
      <c r="H12" s="5" t="s">
        <v>77</v>
      </c>
      <c r="I12" s="5" t="s">
        <v>14</v>
      </c>
      <c r="J12" s="20">
        <f>J8/(J10/100)</f>
        <v>1.2057606569809607</v>
      </c>
    </row>
    <row r="13" spans="1:13" ht="20.399999999999999" x14ac:dyDescent="0.3">
      <c r="G13" s="15" t="s">
        <v>15</v>
      </c>
      <c r="H13" s="16" t="s">
        <v>16</v>
      </c>
      <c r="I13" s="16" t="s">
        <v>14</v>
      </c>
      <c r="J13" s="17">
        <f>(J11+J12)</f>
        <v>2.799758955672722</v>
      </c>
    </row>
    <row r="14" spans="1:13" ht="21" x14ac:dyDescent="0.3">
      <c r="G14" s="4" t="s">
        <v>12</v>
      </c>
      <c r="H14" s="5" t="s">
        <v>13</v>
      </c>
      <c r="I14" s="5" t="s">
        <v>14</v>
      </c>
      <c r="J14" s="20">
        <f>J13/0.889</f>
        <v>3.1493351582370326</v>
      </c>
    </row>
    <row r="15" spans="1:13" ht="20.399999999999999" x14ac:dyDescent="0.3">
      <c r="G15" s="15" t="s">
        <v>10</v>
      </c>
      <c r="H15" s="16" t="s">
        <v>11</v>
      </c>
      <c r="I15" s="16" t="s">
        <v>3</v>
      </c>
      <c r="J15" s="27">
        <f>J14/4.409</f>
        <v>0.71429692860898908</v>
      </c>
    </row>
    <row r="16" spans="1:13" ht="21" x14ac:dyDescent="0.3">
      <c r="G16" s="4" t="s">
        <v>34</v>
      </c>
      <c r="H16" s="5" t="s">
        <v>35</v>
      </c>
      <c r="I16" s="5" t="s">
        <v>26</v>
      </c>
      <c r="J16" s="20">
        <f>IF(B5="simples",3.22*J4^0.75,IF(B5="gemelar",3.22*J4^0.75,0))</f>
        <v>68.653608253208219</v>
      </c>
    </row>
    <row r="17" spans="7:10" ht="21" x14ac:dyDescent="0.3">
      <c r="G17" s="7" t="s">
        <v>78</v>
      </c>
      <c r="H17" s="8" t="s">
        <v>79</v>
      </c>
      <c r="I17" s="8" t="s">
        <v>26</v>
      </c>
      <c r="J17" s="21">
        <f>(IF(AND(B5="simples",B6=80),0.1708*EXP(0.03389*B6)+0.156*EXP(0.0289*B6),IF(AND(B5="simples",B6=110),0.1708*EXP(0.03389*B6)+0.156*EXP(0.0289*B6),IF(AND(B5="simples",B6=140),0.1708*EXP(0.03389*B6)+0.156*EXP(0.0289*B6),IF(AND(B5="gemelar",B6=80),0.2622*EXP(0.03689*B6)+0.3081*EXP(0.0237*B6),IF(AND(B5="gemelar",B6=110),0.2622*EXP(0.03689*B6)+0.3081*EXP(0.0237*B6),IF(AND(B5="gemelar",B6=140),0.2622*EXP(0.03689*B6)+0.3081*EXP(0.0237*B6),0)))))))</f>
        <v>10.851402033443142</v>
      </c>
    </row>
    <row r="18" spans="7:10" ht="21" x14ac:dyDescent="0.3">
      <c r="G18" s="4" t="s">
        <v>80</v>
      </c>
      <c r="H18" s="5" t="s">
        <v>67</v>
      </c>
      <c r="I18" s="5" t="s">
        <v>23</v>
      </c>
      <c r="J18" s="14">
        <f>IF(B6=80,12,IF(B6=110,21,IF(B6=140,43,0)))</f>
        <v>21</v>
      </c>
    </row>
    <row r="19" spans="7:10" ht="21" x14ac:dyDescent="0.3">
      <c r="G19" s="7" t="s">
        <v>81</v>
      </c>
      <c r="H19" s="8" t="s">
        <v>36</v>
      </c>
      <c r="I19" s="8" t="s">
        <v>26</v>
      </c>
      <c r="J19" s="18">
        <f>J17/(J18/100)</f>
        <v>51.673343016395918</v>
      </c>
    </row>
    <row r="20" spans="7:10" ht="20.399999999999999" x14ac:dyDescent="0.3">
      <c r="G20" s="10" t="s">
        <v>32</v>
      </c>
      <c r="H20" s="2" t="s">
        <v>33</v>
      </c>
      <c r="I20" s="2" t="s">
        <v>26</v>
      </c>
      <c r="J20" s="28">
        <f>(J19+J16)</f>
        <v>120.32695126960414</v>
      </c>
    </row>
    <row r="21" spans="7:10" ht="21" x14ac:dyDescent="0.3">
      <c r="G21" s="7" t="s">
        <v>27</v>
      </c>
      <c r="H21" s="8" t="s">
        <v>28</v>
      </c>
      <c r="I21" s="8" t="s">
        <v>26</v>
      </c>
      <c r="J21" s="18">
        <f>(12.7311+(15.3*J13))</f>
        <v>55.567412021792649</v>
      </c>
    </row>
    <row r="22" spans="7:10" ht="21" x14ac:dyDescent="0.3">
      <c r="G22" s="4" t="s">
        <v>29</v>
      </c>
      <c r="H22" s="5" t="s">
        <v>30</v>
      </c>
      <c r="I22" s="5" t="s">
        <v>31</v>
      </c>
      <c r="J22" s="6">
        <f>J21/J15</f>
        <v>77.793155473878031</v>
      </c>
    </row>
    <row r="23" spans="7:10" ht="20.399999999999999" x14ac:dyDescent="0.3">
      <c r="G23" s="15" t="s">
        <v>24</v>
      </c>
      <c r="H23" s="16" t="s">
        <v>25</v>
      </c>
      <c r="I23" s="16" t="s">
        <v>26</v>
      </c>
      <c r="J23" s="19">
        <f>(1.9136+J20)/0.963</f>
        <v>126.93722873271459</v>
      </c>
    </row>
    <row r="24" spans="7:10" ht="20.399999999999999" x14ac:dyDescent="0.3">
      <c r="G24" s="10" t="s">
        <v>37</v>
      </c>
      <c r="H24" s="2" t="s">
        <v>38</v>
      </c>
      <c r="I24" s="2" t="s">
        <v>26</v>
      </c>
      <c r="J24" s="11">
        <f>(J25+J26)/0.66</f>
        <v>6.8661039066158365</v>
      </c>
    </row>
    <row r="25" spans="7:10" ht="21" x14ac:dyDescent="0.3">
      <c r="G25" s="7" t="s">
        <v>39</v>
      </c>
      <c r="H25" s="8" t="s">
        <v>40</v>
      </c>
      <c r="I25" s="8" t="s">
        <v>26</v>
      </c>
      <c r="J25" s="21">
        <f>IF(B5="simples",0.0604*B9,IF(B5="gemelar",0.0604*B9,0))</f>
        <v>4.1071999999999997</v>
      </c>
    </row>
    <row r="26" spans="7:10" ht="21" x14ac:dyDescent="0.3">
      <c r="G26" s="4" t="s">
        <v>82</v>
      </c>
      <c r="H26" s="5" t="s">
        <v>41</v>
      </c>
      <c r="I26" s="5" t="s">
        <v>26</v>
      </c>
      <c r="J26" s="12">
        <f>IF(B5="simples",(0.251*EXP(0.0352*B6))*0.0352,IF(B5="gemelar",(0.379*EXP(0.0352*B6))*0.0352,0))</f>
        <v>0.42442857836645254</v>
      </c>
    </row>
    <row r="27" spans="7:10" ht="20.399999999999999" x14ac:dyDescent="0.35">
      <c r="G27" s="15" t="s">
        <v>42</v>
      </c>
      <c r="H27" s="16" t="s">
        <v>43</v>
      </c>
      <c r="I27" s="16" t="s">
        <v>26</v>
      </c>
      <c r="J27" s="23">
        <f>(J29+J28)/0.69</f>
        <v>3.4630647583747232</v>
      </c>
    </row>
    <row r="28" spans="7:10" ht="21" x14ac:dyDescent="0.3">
      <c r="G28" s="4" t="s">
        <v>44</v>
      </c>
      <c r="H28" s="5" t="s">
        <v>45</v>
      </c>
      <c r="I28" s="5" t="s">
        <v>26</v>
      </c>
      <c r="J28" s="20">
        <f>IF(B5="simples",0.0311*B9,IF(B5="gemelar",0.0311*B9,0))</f>
        <v>2.1147999999999998</v>
      </c>
    </row>
    <row r="29" spans="7:10" ht="21" x14ac:dyDescent="0.3">
      <c r="G29" s="7" t="s">
        <v>83</v>
      </c>
      <c r="H29" s="8" t="s">
        <v>46</v>
      </c>
      <c r="I29" s="8" t="s">
        <v>26</v>
      </c>
      <c r="J29" s="9">
        <f>IF(B5="simples",(0.297*EXP(0.0309*B6))*0.0309,IF(B5="gemelar",(0.47*EXP(0.0309*B6))*0.0309,0))</f>
        <v>0.27471468327855914</v>
      </c>
    </row>
    <row r="30" spans="7:10" ht="20.399999999999999" x14ac:dyDescent="0.3">
      <c r="G30" s="10" t="s">
        <v>47</v>
      </c>
      <c r="H30" s="2" t="s">
        <v>48</v>
      </c>
      <c r="I30" s="2" t="s">
        <v>26</v>
      </c>
      <c r="J30" s="29">
        <f>(J31+J32)/0.2</f>
        <v>0.9460621052228313</v>
      </c>
    </row>
    <row r="31" spans="7:10" ht="21" x14ac:dyDescent="0.3">
      <c r="G31" s="7" t="s">
        <v>49</v>
      </c>
      <c r="H31" s="8" t="s">
        <v>50</v>
      </c>
      <c r="I31" s="8" t="s">
        <v>26</v>
      </c>
      <c r="J31" s="9">
        <f>IF(B5="simples",0.00242*B9,IF(B5="gemelar",0.00242*B9,0))</f>
        <v>0.16455999999999998</v>
      </c>
    </row>
    <row r="32" spans="7:10" ht="21" x14ac:dyDescent="0.3">
      <c r="G32" s="4" t="s">
        <v>84</v>
      </c>
      <c r="H32" s="5" t="s">
        <v>51</v>
      </c>
      <c r="I32" s="5" t="s">
        <v>26</v>
      </c>
      <c r="J32" s="12">
        <f>IF(B5="simples",(0.0321*EXP(0.0296*B6))*0.0296,IF(B5="gemelar",(0.0436*EXP(0.0296*B6))*0.0436,0))</f>
        <v>2.4652421044566282E-2</v>
      </c>
    </row>
    <row r="33" spans="7:10" ht="20.399999999999999" x14ac:dyDescent="0.3">
      <c r="G33" s="15" t="s">
        <v>52</v>
      </c>
      <c r="H33" s="16" t="s">
        <v>53</v>
      </c>
      <c r="I33" s="16" t="s">
        <v>26</v>
      </c>
      <c r="J33" s="17">
        <f>(J34+J35)/0.9</f>
        <v>1.3170465761521613</v>
      </c>
    </row>
    <row r="34" spans="7:10" ht="21" x14ac:dyDescent="0.3">
      <c r="G34" s="4" t="s">
        <v>54</v>
      </c>
      <c r="H34" s="5" t="s">
        <v>55</v>
      </c>
      <c r="I34" s="5" t="s">
        <v>26</v>
      </c>
      <c r="J34" s="20">
        <f>IF(B6=80,0.00873*B9,IF(B6=110,0.0154*B9,IF(B6=140,0.0154*B9,0)))</f>
        <v>1.0472000000000001</v>
      </c>
    </row>
    <row r="35" spans="7:10" ht="21" x14ac:dyDescent="0.3">
      <c r="G35" s="7" t="s">
        <v>85</v>
      </c>
      <c r="H35" s="8" t="s">
        <v>56</v>
      </c>
      <c r="I35" s="8" t="s">
        <v>26</v>
      </c>
      <c r="J35" s="9">
        <f>IF(B5="simples",(0.464*EXP(0.0232*B6))*0.0232,IF(B5="gemelar",(0.0232*EXP(0.0258*B6))*0.0232,0))</f>
        <v>0.13814191853694494</v>
      </c>
    </row>
    <row r="36" spans="7:10" ht="20.399999999999999" x14ac:dyDescent="0.3">
      <c r="G36" s="10" t="s">
        <v>57</v>
      </c>
      <c r="H36" s="2" t="s">
        <v>58</v>
      </c>
      <c r="I36" s="2" t="s">
        <v>26</v>
      </c>
      <c r="J36" s="11">
        <f>(J37+J38)/0.8</f>
        <v>1.1682514585301107</v>
      </c>
    </row>
    <row r="37" spans="7:10" ht="21" x14ac:dyDescent="0.3">
      <c r="G37" s="7" t="s">
        <v>59</v>
      </c>
      <c r="H37" s="8" t="s">
        <v>60</v>
      </c>
      <c r="I37" s="8" t="s">
        <v>26</v>
      </c>
      <c r="J37" s="9">
        <f>IF(B5="simples",0.0104*B9,IF(B5="gemelar",0.0104*B9,0))</f>
        <v>0.70719999999999994</v>
      </c>
    </row>
    <row r="38" spans="7:10" ht="21" x14ac:dyDescent="0.3">
      <c r="G38" s="4" t="s">
        <v>86</v>
      </c>
      <c r="H38" s="5" t="s">
        <v>61</v>
      </c>
      <c r="I38" s="5" t="s">
        <v>26</v>
      </c>
      <c r="J38" s="12">
        <f>IF(B5="simples",(0.697*EXP(0.0238*B6))*0.0238,IF(B5="gemelar",(1.026*EXP(0.0238*B6))*0.0238,0))</f>
        <v>0.22740116682408867</v>
      </c>
    </row>
    <row r="59" spans="32:32" x14ac:dyDescent="0.3">
      <c r="AF59" s="26"/>
    </row>
  </sheetData>
  <sheetProtection algorithmName="SHA-512" hashValue="PpW1eRRn/hRE0cfnoF93MNTBeJs1ZvOXlz5WrRmi1smN0wtK/wcinVqlxpb3WWmFo6MSfShFDibi0UP/RubPqA==" saltValue="ORA7/bQbYhPcJ0ZJe0ixJQ==" spinCount="100000" sheet="1" objects="1" scenarios="1" selectLockedCells="1"/>
  <mergeCells count="2">
    <mergeCell ref="G2:J2"/>
    <mergeCell ref="A4:B4"/>
  </mergeCells>
  <dataValidations count="2">
    <dataValidation type="list" allowBlank="1" showInputMessage="1" showErrorMessage="1" sqref="B5" xr:uid="{78CF3259-5D25-479B-A3C6-10C805C76469}">
      <formula1>"Simples, Gemelar"</formula1>
    </dataValidation>
    <dataValidation type="list" allowBlank="1" showInputMessage="1" showErrorMessage="1" sqref="B6" xr:uid="{125BC3A8-C572-43F2-AD9E-2C4245711FAF}">
      <formula1>"80,110,140"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Caprinos Gestação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Herbster</dc:creator>
  <cp:lastModifiedBy>Julio Herbster</cp:lastModifiedBy>
  <dcterms:created xsi:type="dcterms:W3CDTF">2024-08-08T22:47:59Z</dcterms:created>
  <dcterms:modified xsi:type="dcterms:W3CDTF">2024-08-16T13:59:19Z</dcterms:modified>
</cp:coreProperties>
</file>